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activeTab="0"/>
  </bookViews>
  <sheets>
    <sheet name="loonwerk - eigen mechanisatie" sheetId="1" r:id="rId1"/>
    <sheet name="vervangingsmoment werktuig" sheetId="2" r:id="rId2"/>
  </sheets>
  <definedNames>
    <definedName name="_xlnm.Print_Area" localSheetId="0">'loonwerk - eigen mechanisatie'!$B$1:$H$40</definedName>
    <definedName name="_xlnm.Print_Area" localSheetId="1">'vervangingsmoment werktuig'!$B$1:$G$26</definedName>
  </definedNames>
  <calcPr fullCalcOnLoad="1"/>
</workbook>
</file>

<file path=xl/comments1.xml><?xml version="1.0" encoding="utf-8"?>
<comments xmlns="http://schemas.openxmlformats.org/spreadsheetml/2006/main">
  <authors>
    <author>B. Storkhorst</author>
    <author>gvddunge</author>
  </authors>
  <commentList>
    <comment ref="C4" authorId="0">
      <text>
        <r>
          <rPr>
            <sz val="8"/>
            <color indexed="8"/>
            <rFont val="Tahoma"/>
            <family val="2"/>
          </rPr>
          <t>de vervangingswaarde van de trekker</t>
        </r>
      </text>
    </comment>
    <comment ref="G5" authorId="0">
      <text>
        <r>
          <rPr>
            <sz val="8"/>
            <color indexed="8"/>
            <rFont val="Tahoma"/>
            <family val="2"/>
          </rPr>
          <t>de vervangingswaarde van het werktuig</t>
        </r>
      </text>
    </comment>
    <comment ref="C5" authorId="0">
      <text>
        <r>
          <rPr>
            <sz val="8"/>
            <color indexed="8"/>
            <rFont val="Tahoma"/>
            <family val="2"/>
          </rPr>
          <t>de restwaarde van de trekker</t>
        </r>
      </text>
    </comment>
    <comment ref="G6" authorId="0">
      <text>
        <r>
          <rPr>
            <sz val="8"/>
            <color indexed="8"/>
            <rFont val="Tahoma"/>
            <family val="2"/>
          </rPr>
          <t>de restwaarde van het werktuig</t>
        </r>
      </text>
    </comment>
    <comment ref="C6" authorId="0">
      <text>
        <r>
          <rPr>
            <sz val="8"/>
            <color indexed="8"/>
            <rFont val="Tahoma"/>
            <family val="2"/>
          </rPr>
          <t>de levensduur van de trekker, uitgedrukt in jaren</t>
        </r>
      </text>
    </comment>
    <comment ref="G7" authorId="0">
      <text>
        <r>
          <rPr>
            <sz val="8"/>
            <color indexed="8"/>
            <rFont val="Tahoma"/>
            <family val="2"/>
          </rPr>
          <t>de levensduur van het werktuig, uitgedrukt in jaren</t>
        </r>
      </text>
    </comment>
    <comment ref="G8" authorId="0">
      <text>
        <r>
          <rPr>
            <sz val="8"/>
            <color indexed="8"/>
            <rFont val="Tahoma"/>
            <family val="2"/>
          </rPr>
          <t>de werkbreedte van het werktuig in meters</t>
        </r>
      </text>
    </comment>
    <comment ref="G9" authorId="0">
      <text>
        <r>
          <rPr>
            <sz val="8"/>
            <color indexed="8"/>
            <rFont val="Tahoma"/>
            <family val="2"/>
          </rPr>
          <t>de capaciteit van het werktuig, uitgedrukt in ha uur</t>
        </r>
      </text>
    </comment>
    <comment ref="C7" authorId="0">
      <text>
        <r>
          <rPr>
            <sz val="8"/>
            <color indexed="8"/>
            <rFont val="Tahoma"/>
            <family val="2"/>
          </rPr>
          <t>het aantal draaiuren van de trekker per jaar</t>
        </r>
      </text>
    </comment>
    <comment ref="C8" authorId="0">
      <text>
        <r>
          <rPr>
            <sz val="8"/>
            <color indexed="8"/>
            <rFont val="Tahoma"/>
            <family val="2"/>
          </rPr>
          <t>de verzekering van de trekker als percentage van de vervangingswaarde</t>
        </r>
      </text>
    </comment>
    <comment ref="C9" authorId="0">
      <text>
        <r>
          <rPr>
            <sz val="8"/>
            <color indexed="8"/>
            <rFont val="Tahoma"/>
            <family val="2"/>
          </rPr>
          <t>het onderhoud van de trekker als percentage van de vervangingswaarde</t>
        </r>
      </text>
    </comment>
    <comment ref="G11" authorId="0">
      <text>
        <r>
          <rPr>
            <sz val="8"/>
            <color indexed="8"/>
            <rFont val="Tahoma"/>
            <family val="2"/>
          </rPr>
          <t>de verzekering van het werktuig als percentage van de vervangingswaarde</t>
        </r>
      </text>
    </comment>
    <comment ref="G12" authorId="0">
      <text>
        <r>
          <rPr>
            <sz val="8"/>
            <color indexed="8"/>
            <rFont val="Tahoma"/>
            <family val="2"/>
          </rPr>
          <t>het onderhoud van het werktuig als percentage van de vervangingswaarde</t>
        </r>
      </text>
    </comment>
    <comment ref="C10" authorId="0">
      <text>
        <r>
          <rPr>
            <sz val="8"/>
            <color indexed="8"/>
            <rFont val="Tahoma"/>
            <family val="2"/>
          </rPr>
          <t>de brandstofprijs in euro per liter</t>
        </r>
      </text>
    </comment>
    <comment ref="C13" authorId="0">
      <text>
        <r>
          <rPr>
            <sz val="8"/>
            <color indexed="8"/>
            <rFont val="Tahoma"/>
            <family val="2"/>
          </rPr>
          <t>het brandstofverbruik van de trekker in liters per uur</t>
        </r>
      </text>
    </comment>
    <comment ref="C3" authorId="0">
      <text>
        <r>
          <rPr>
            <sz val="8"/>
            <color indexed="8"/>
            <rFont val="Tahoma"/>
            <family val="2"/>
          </rPr>
          <t>deze kolom is voor trekkers bedoeld</t>
        </r>
      </text>
    </comment>
    <comment ref="G3" authorId="0">
      <text>
        <r>
          <rPr>
            <sz val="8"/>
            <color indexed="8"/>
            <rFont val="Tahoma"/>
            <family val="2"/>
          </rPr>
          <t>vul hier het soort werktuig in</t>
        </r>
      </text>
    </comment>
    <comment ref="G10" authorId="0">
      <text>
        <r>
          <rPr>
            <sz val="8"/>
            <color indexed="8"/>
            <rFont val="Tahoma"/>
            <family val="2"/>
          </rPr>
          <t>het gebruik van het werktuig in ha per jaar</t>
        </r>
      </text>
    </comment>
    <comment ref="B18" authorId="1">
      <text>
        <r>
          <rPr>
            <sz val="8"/>
            <rFont val="Tahoma"/>
            <family val="2"/>
          </rPr>
          <t>Het tarief van een loonwerker in guldens per tariefeenheid zoals hierboven is aangegeven.
Dit zijn de totale kosten incl.
 arbeid en trekker.</t>
        </r>
      </text>
    </comment>
    <comment ref="C11" authorId="1">
      <text>
        <r>
          <rPr>
            <sz val="8"/>
            <color indexed="8"/>
            <rFont val="Tahoma"/>
            <family val="2"/>
          </rPr>
          <t xml:space="preserve">capaciteit trekker in kW
</t>
        </r>
      </text>
    </comment>
    <comment ref="B16" authorId="1">
      <text>
        <r>
          <rPr>
            <sz val="8"/>
            <rFont val="Tahoma"/>
            <family val="2"/>
          </rPr>
          <t>de eenheid waarin het loonwerktarief wordt uitgedrukt: ha, uur, m3</t>
        </r>
      </text>
    </comment>
    <comment ref="B17" authorId="1">
      <text>
        <r>
          <rPr>
            <sz val="8"/>
            <rFont val="Tahoma"/>
            <family val="2"/>
          </rPr>
          <t>de capaciteit van een loonwerker in ha, m3 per uur</t>
        </r>
      </text>
    </comment>
    <comment ref="E18" authorId="1">
      <text>
        <r>
          <rPr>
            <sz val="8"/>
            <rFont val="Tahoma"/>
            <family val="2"/>
          </rPr>
          <t xml:space="preserve">de financieringsrente (dus </t>
        </r>
        <r>
          <rPr>
            <u val="single"/>
            <sz val="8"/>
            <rFont val="Tahoma"/>
            <family val="2"/>
          </rPr>
          <t>géén</t>
        </r>
        <r>
          <rPr>
            <sz val="8"/>
            <rFont val="Tahoma"/>
            <family val="2"/>
          </rPr>
          <t xml:space="preserve"> gemiddelde rente!)
</t>
        </r>
      </text>
    </comment>
    <comment ref="C12" authorId="1">
      <text>
        <r>
          <rPr>
            <b/>
            <sz val="9"/>
            <rFont val="Tahoma"/>
            <family val="2"/>
          </rPr>
          <t xml:space="preserve">standaard voor trekkers bij boeren is 60%
correctie is af te leiden uit onderstaande tabel:
                                                transport     oogst     grondbewerking/statisch werk
trekker 2-wiel aandrijving              42             51                    60
trekker 4-wiel aandrijving              49             60                    70
zelfrijdend werktuig                      56             68                    80
</t>
        </r>
      </text>
    </comment>
  </commentList>
</comments>
</file>

<file path=xl/comments2.xml><?xml version="1.0" encoding="utf-8"?>
<comments xmlns="http://schemas.openxmlformats.org/spreadsheetml/2006/main">
  <authors>
    <author>gvddunge</author>
    <author>B. S.</author>
  </authors>
  <commentList>
    <comment ref="B15" authorId="0">
      <text>
        <r>
          <rPr>
            <sz val="8"/>
            <rFont val="Tahoma"/>
            <family val="2"/>
          </rPr>
          <t>over vervangingswaarde</t>
        </r>
      </text>
    </comment>
    <comment ref="B8" authorId="0">
      <text>
        <r>
          <rPr>
            <sz val="8"/>
            <rFont val="Tahoma"/>
            <family val="2"/>
          </rPr>
          <t xml:space="preserve">=(100-afschrijving% per jaar) / afschrijvings% per jaar
</t>
        </r>
      </text>
    </comment>
    <comment ref="C15" authorId="0">
      <text>
        <r>
          <rPr>
            <b/>
            <sz val="8"/>
            <rFont val="Tahoma"/>
            <family val="0"/>
          </rPr>
          <t>dit percentage wordt via een ingewikkelde formule berekend.
Informatie hierover is in KWIN te vinden; de tabel is ook hieronder afgebeeld, maar wordt niet geprint.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het bedrag dat bij vervanging op dit moment voor een zelfde soort machine moet worden betaald. Bij vervanging door 2e-hands werktuigen dient het afschrijvingspercentage en het gemiddelde percentage onderhoud te worden aangepast!!</t>
        </r>
      </text>
    </comment>
    <comment ref="B7" authorId="0">
      <text>
        <r>
          <rPr>
            <sz val="8"/>
            <rFont val="Tahoma"/>
            <family val="2"/>
          </rPr>
          <t xml:space="preserve">meestal 10%. Als de boer de werktuigen vrij nieuw inruilt dan een hoger %.
</t>
        </r>
      </text>
    </comment>
    <comment ref="B10" authorId="0">
      <text>
        <r>
          <rPr>
            <sz val="8"/>
            <rFont val="Tahoma"/>
            <family val="2"/>
          </rPr>
          <t xml:space="preserve">in KWIN staat een gemiddeld % onderhoud voor nieuwe werktuigen: bij 2e-hands werktuigen dient dit % hoger te zijn.
</t>
        </r>
      </text>
    </comment>
    <comment ref="B16" authorId="0">
      <text>
        <r>
          <rPr>
            <sz val="8"/>
            <rFont val="Tahoma"/>
            <family val="2"/>
          </rPr>
          <t>over vervangingswaarde</t>
        </r>
      </text>
    </comment>
    <comment ref="E23" authorId="1">
      <text>
        <r>
          <rPr>
            <sz val="8"/>
            <rFont val="Tahoma"/>
            <family val="2"/>
          </rPr>
          <t>Gemiddelde rente in het 1e jaar</t>
        </r>
      </text>
    </comment>
    <comment ref="C22" authorId="1">
      <text>
        <r>
          <rPr>
            <sz val="8"/>
            <rFont val="Tahoma"/>
            <family val="2"/>
          </rPr>
          <t xml:space="preserve">verschil inruil werktuig nu en over één jaar
</t>
        </r>
      </text>
    </comment>
    <comment ref="C23" authorId="1">
      <text>
        <r>
          <rPr>
            <sz val="8"/>
            <rFont val="Tahoma"/>
            <family val="2"/>
          </rPr>
          <t>gemiddelde rente over waarde van inruil nu en inruil over één jaar</t>
        </r>
      </text>
    </comment>
    <comment ref="C24" authorId="1">
      <text>
        <r>
          <rPr>
            <sz val="8"/>
            <rFont val="Tahoma"/>
            <family val="2"/>
          </rPr>
          <t xml:space="preserve">= vervangingswaarde x onderhouds% oude werktuig in jaar . . .
</t>
        </r>
      </text>
    </comment>
    <comment ref="E22" authorId="1">
      <text>
        <r>
          <rPr>
            <sz val="8"/>
            <rFont val="Tahoma"/>
            <family val="2"/>
          </rPr>
          <t>vervangingswaarde werktuig x afschrijving% nieuw werktuig</t>
        </r>
      </text>
    </comment>
    <comment ref="E24" authorId="1">
      <text>
        <r>
          <rPr>
            <sz val="8"/>
            <color indexed="8"/>
            <rFont val="Tahoma"/>
            <family val="2"/>
          </rPr>
          <t xml:space="preserve">= vervangingswaarde x onderhouds% nieuwe werktuig in jaar . . .
</t>
        </r>
      </text>
    </comment>
    <comment ref="B12" authorId="1">
      <text>
        <r>
          <rPr>
            <sz val="7"/>
            <rFont val="Tahoma"/>
            <family val="2"/>
          </rPr>
          <t>dit kan niet groter zijn dan de totale levensduur in jaren</t>
        </r>
      </text>
    </comment>
    <comment ref="D12" authorId="1">
      <text>
        <r>
          <rPr>
            <b/>
            <sz val="7"/>
            <rFont val="Tahoma"/>
            <family val="0"/>
          </rPr>
          <t>hier komt fout te staan als het ingevulde getal groter is dan de totale levensduur in jaren (5 rijen hoger)</t>
        </r>
        <r>
          <rPr>
            <sz val="7"/>
            <rFont val="Tahoma"/>
            <family val="0"/>
          </rPr>
          <t xml:space="preserve">
</t>
        </r>
      </text>
    </comment>
    <comment ref="F12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  <comment ref="F13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  <comment ref="F14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  <comment ref="F15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  <comment ref="F16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  <comment ref="F17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  <comment ref="F18" authorId="0">
      <text>
        <r>
          <rPr>
            <sz val="8"/>
            <color indexed="8"/>
            <rFont val="Tahoma"/>
            <family val="2"/>
          </rPr>
          <t xml:space="preserve">kan niet negatief worden!
</t>
        </r>
      </text>
    </comment>
  </commentList>
</comments>
</file>

<file path=xl/sharedStrings.xml><?xml version="1.0" encoding="utf-8"?>
<sst xmlns="http://schemas.openxmlformats.org/spreadsheetml/2006/main" count="103" uniqueCount="90">
  <si>
    <t>Vergelijking van de kosten bij eigen mechanisatie en loonwerk</t>
  </si>
  <si>
    <t>Gegevens</t>
  </si>
  <si>
    <t>Soort machine</t>
  </si>
  <si>
    <t>trekker</t>
  </si>
  <si>
    <t>Levensduur</t>
  </si>
  <si>
    <t>Capaciteit</t>
  </si>
  <si>
    <t>Draaiuren</t>
  </si>
  <si>
    <t>Verzekering</t>
  </si>
  <si>
    <t>Onderhoud</t>
  </si>
  <si>
    <t>Rente</t>
  </si>
  <si>
    <t>Afschrijving</t>
  </si>
  <si>
    <t>Brandstof</t>
  </si>
  <si>
    <t>Totaal</t>
  </si>
  <si>
    <t>Kosten loonwerker</t>
  </si>
  <si>
    <t>Per ha</t>
  </si>
  <si>
    <t>Per uur</t>
  </si>
  <si>
    <t>Uren per jaar</t>
  </si>
  <si>
    <t>Kosten eigen mechanisatie</t>
  </si>
  <si>
    <t>Werkbreedte</t>
  </si>
  <si>
    <t>Tarief eenheid</t>
  </si>
  <si>
    <t>Capaciteit loonwwerker</t>
  </si>
  <si>
    <t>Arbeidsvergoeding per uur</t>
  </si>
  <si>
    <t>Totaal eigen mech.</t>
  </si>
  <si>
    <t>Totale jaarkosten eigen mechanisatie</t>
  </si>
  <si>
    <t>Arbeid</t>
  </si>
  <si>
    <t>grijze vakken zijn in te vullen</t>
  </si>
  <si>
    <t>gebruiksjaar</t>
  </si>
  <si>
    <t>exponent</t>
  </si>
  <si>
    <t>rente%</t>
  </si>
  <si>
    <t>afschrijving</t>
  </si>
  <si>
    <t>rente</t>
  </si>
  <si>
    <t>restwaarde in %</t>
  </si>
  <si>
    <t>vervangingswaarde</t>
  </si>
  <si>
    <t>kosten komend jaar</t>
  </si>
  <si>
    <t>onderhoud</t>
  </si>
  <si>
    <t>oud werktuig</t>
  </si>
  <si>
    <t>afschrijvings% bij nieuw werktuig</t>
  </si>
  <si>
    <t>hoe oud is het werktuig nu (in jaren)</t>
  </si>
  <si>
    <t>schatting huidige waarde werktuig bij inruil</t>
  </si>
  <si>
    <t>schatting waarde over 1 jaar bij inruil</t>
  </si>
  <si>
    <t>grijze cellen invullen</t>
  </si>
  <si>
    <t>% onderhoud komend jaar</t>
  </si>
  <si>
    <t>cumulatief onderhoud% alle jaren</t>
  </si>
  <si>
    <t>gemiddeld onderhouds % KWIN)</t>
  </si>
  <si>
    <t>schatting aantal gebruiksuren per jaar</t>
  </si>
  <si>
    <t>Beoordelen van vervangingsmoment oud werktuig door nieuw werktuig</t>
  </si>
  <si>
    <t>Vergelijking</t>
  </si>
  <si>
    <t xml:space="preserve"> =====</t>
  </si>
  <si>
    <t>totaal kosten</t>
  </si>
  <si>
    <t>Vermogen trekker in kW</t>
  </si>
  <si>
    <t>Belastingpercentage (%)</t>
  </si>
  <si>
    <t>Verbruik brandst.+smeermidd./uur</t>
  </si>
  <si>
    <t>nieuw werktuig (1e jaar)</t>
  </si>
  <si>
    <t>totale levensduur in jaren</t>
  </si>
  <si>
    <t>vervangings-    waarde</t>
  </si>
  <si>
    <t xml:space="preserve">waarde werktuig na …jaar afschrijving volgens </t>
  </si>
  <si>
    <t>na jaar</t>
  </si>
  <si>
    <t>Totaal per (draai)uur trekker (excl. arbeid)</t>
  </si>
  <si>
    <t>Totaal per (draai)uur machine (excl. arbeid)</t>
  </si>
  <si>
    <t>Gebruik in ha/jaar</t>
  </si>
  <si>
    <t>Kosten per uur</t>
  </si>
  <si>
    <t>Kosten per ha</t>
  </si>
  <si>
    <t>excl.
eigen arbeid</t>
  </si>
  <si>
    <t>incl.
eigen arbeid</t>
  </si>
  <si>
    <t>fiscale boek-
waarde</t>
  </si>
  <si>
    <t xml:space="preserve">om naar  </t>
  </si>
  <si>
    <t>te gaan</t>
  </si>
  <si>
    <t>vervangingsmoment</t>
  </si>
  <si>
    <t>werktuig te gaan</t>
  </si>
  <si>
    <t xml:space="preserve">loonwerk - </t>
  </si>
  <si>
    <t>eigen mechanisatie</t>
  </si>
  <si>
    <r>
      <t>Type "</t>
    </r>
    <r>
      <rPr>
        <b/>
        <sz val="10"/>
        <color indexed="10"/>
        <rFont val="Arial"/>
        <family val="2"/>
      </rPr>
      <t>Ctrl v</t>
    </r>
    <r>
      <rPr>
        <sz val="10"/>
        <rFont val="Arial"/>
        <family val="0"/>
      </rPr>
      <t>"</t>
    </r>
  </si>
  <si>
    <r>
      <t>Type "</t>
    </r>
    <r>
      <rPr>
        <b/>
        <sz val="10"/>
        <color indexed="10"/>
        <rFont val="Arial"/>
        <family val="2"/>
      </rPr>
      <t>Ctrl l</t>
    </r>
    <r>
      <rPr>
        <sz val="10"/>
        <rFont val="Arial"/>
        <family val="0"/>
      </rPr>
      <t>"</t>
    </r>
  </si>
  <si>
    <t>Kosten loonwerk</t>
  </si>
  <si>
    <t>Tot. loonwerk</t>
  </si>
  <si>
    <t>gem. onderhouds% komend jaar oude werktuig</t>
  </si>
  <si>
    <t>gem. onderhouds% komend jaar nieuwe werktuig</t>
  </si>
  <si>
    <t>Ha's waarbij loonwerk en eigen mechanisatie even duur zijn</t>
  </si>
  <si>
    <t>Vervangingswaarde (€)</t>
  </si>
  <si>
    <t>Restwaarde (€)</t>
  </si>
  <si>
    <t>Uurloon eigen arbeid (€)</t>
  </si>
  <si>
    <t>Loonwerktarief (€)</t>
  </si>
  <si>
    <t>Brandstofprijs (€/liter)</t>
  </si>
  <si>
    <t>Rente%</t>
  </si>
  <si>
    <t>soort machine</t>
  </si>
  <si>
    <t>hark</t>
  </si>
  <si>
    <t>Ha's per jaar</t>
  </si>
  <si>
    <t>Aantal uren / jaar</t>
  </si>
  <si>
    <t>maaierkneuzer</t>
  </si>
  <si>
    <t>Tariefeenheid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</si>
</sst>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#,##0.0"/>
    <numFmt numFmtId="178" formatCode="0.00_ ;[Red]\-0.00\ "/>
    <numFmt numFmtId="179" formatCode="&quot;fl&quot;\ #,##0.00;[Red]&quot;fl&quot;\ #,##0.00"/>
    <numFmt numFmtId="180" formatCode="#,##0.00_ ;[Red]\-#,##0.00\ "/>
    <numFmt numFmtId="181" formatCode="#,##0.0_ ;[Red]\-#,##0.0\ "/>
    <numFmt numFmtId="182" formatCode="#,##0_ ;[Red]\-#,##0\ "/>
    <numFmt numFmtId="183" formatCode="&quot;fl&quot;\ #,##0.0_-;[Red]&quot;fl&quot;\ #,##0.0\-"/>
    <numFmt numFmtId="184" formatCode="#,##0.0_-;[Red]#,##0.0\-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u val="single"/>
      <sz val="8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1" fontId="0" fillId="0" borderId="0" xfId="0" applyNumberFormat="1" applyBorder="1" applyAlignment="1">
      <alignment/>
    </xf>
    <xf numFmtId="0" fontId="8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 horizontal="right"/>
      <protection locked="0"/>
    </xf>
    <xf numFmtId="3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70" fontId="0" fillId="3" borderId="0" xfId="0" applyNumberFormat="1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170" fontId="0" fillId="3" borderId="0" xfId="0" applyNumberFormat="1" applyFill="1" applyBorder="1" applyAlignment="1" applyProtection="1">
      <alignment/>
      <protection locked="0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right" wrapText="1"/>
    </xf>
    <xf numFmtId="175" fontId="0" fillId="2" borderId="0" xfId="0" applyNumberFormat="1" applyFill="1" applyAlignment="1">
      <alignment/>
    </xf>
    <xf numFmtId="170" fontId="0" fillId="4" borderId="2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7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167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8" fillId="0" borderId="1" xfId="0" applyFont="1" applyBorder="1" applyAlignment="1">
      <alignment horizontal="right" wrapText="1"/>
    </xf>
    <xf numFmtId="167" fontId="0" fillId="3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38" fontId="0" fillId="3" borderId="0" xfId="0" applyNumberFormat="1" applyFont="1" applyFill="1" applyAlignment="1" applyProtection="1">
      <alignment horizontal="right"/>
      <protection locked="0"/>
    </xf>
    <xf numFmtId="40" fontId="0" fillId="3" borderId="0" xfId="0" applyNumberFormat="1" applyFont="1" applyFill="1" applyAlignment="1" applyProtection="1">
      <alignment/>
      <protection locked="0"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Alignment="1">
      <alignment/>
    </xf>
    <xf numFmtId="40" fontId="8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146"/>
  <sheetViews>
    <sheetView showGridLines="0" showZeros="0" tabSelected="1" showOutlineSymbols="0" zoomScale="85" zoomScaleNormal="85" workbookViewId="0" topLeftCell="A1">
      <selection activeCell="C4" sqref="C4"/>
    </sheetView>
  </sheetViews>
  <sheetFormatPr defaultColWidth="9.140625" defaultRowHeight="12.75"/>
  <cols>
    <col min="1" max="1" width="12.7109375" style="0" customWidth="1"/>
    <col min="2" max="2" width="29.8515625" style="0" customWidth="1"/>
    <col min="3" max="3" width="11.421875" style="0" customWidth="1"/>
    <col min="4" max="4" width="4.00390625" style="0" customWidth="1"/>
    <col min="5" max="5" width="19.28125" style="0" customWidth="1"/>
    <col min="6" max="6" width="3.8515625" style="0" customWidth="1"/>
    <col min="7" max="7" width="12.7109375" style="0" customWidth="1"/>
    <col min="8" max="8" width="8.28125" style="0" customWidth="1"/>
    <col min="9" max="9" width="5.00390625" style="0" customWidth="1"/>
    <col min="10" max="10" width="17.8515625" style="0" customWidth="1"/>
  </cols>
  <sheetData>
    <row r="1" spans="1:21" ht="15.75" customHeight="1" thickBot="1">
      <c r="A1" s="21"/>
      <c r="B1" s="9" t="s">
        <v>0</v>
      </c>
      <c r="C1" s="8"/>
      <c r="D1" s="8"/>
      <c r="E1" s="8"/>
      <c r="F1" s="8"/>
      <c r="G1" s="8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 customHeight="1">
      <c r="A2" s="21"/>
      <c r="B2" s="7" t="s">
        <v>1</v>
      </c>
      <c r="D2" s="10" t="s">
        <v>25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.75" customHeight="1">
      <c r="A3" s="21"/>
      <c r="B3" t="s">
        <v>2</v>
      </c>
      <c r="C3" s="53" t="s">
        <v>3</v>
      </c>
      <c r="E3" t="s">
        <v>2</v>
      </c>
      <c r="G3" s="22" t="s">
        <v>88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.75" customHeight="1">
      <c r="A4" s="21"/>
      <c r="B4" t="s">
        <v>78</v>
      </c>
      <c r="C4" s="58"/>
      <c r="E4" t="s">
        <v>89</v>
      </c>
      <c r="G4">
        <f>C16</f>
        <v>0</v>
      </c>
      <c r="I4" s="21"/>
      <c r="J4" t="s">
        <v>71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5.75" customHeight="1">
      <c r="A5" s="21"/>
      <c r="B5" t="s">
        <v>79</v>
      </c>
      <c r="C5" s="58"/>
      <c r="E5" t="s">
        <v>78</v>
      </c>
      <c r="G5" s="58"/>
      <c r="I5" s="21"/>
      <c r="J5" t="s">
        <v>65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5.75" customHeight="1">
      <c r="A6" s="21"/>
      <c r="B6" t="s">
        <v>4</v>
      </c>
      <c r="C6" s="24"/>
      <c r="E6" t="s">
        <v>79</v>
      </c>
      <c r="G6" s="58"/>
      <c r="I6" s="21"/>
      <c r="J6" t="s">
        <v>67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5.75" customHeight="1">
      <c r="A7" s="21"/>
      <c r="B7" t="s">
        <v>6</v>
      </c>
      <c r="C7" s="24"/>
      <c r="E7" t="s">
        <v>4</v>
      </c>
      <c r="G7" s="25"/>
      <c r="H7" s="3"/>
      <c r="I7" s="21"/>
      <c r="J7" t="s">
        <v>68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5.75" customHeight="1">
      <c r="A8" s="21"/>
      <c r="B8" t="s">
        <v>7</v>
      </c>
      <c r="C8" s="25"/>
      <c r="E8" t="s">
        <v>18</v>
      </c>
      <c r="G8" s="2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5.75" customHeight="1">
      <c r="A9" s="21"/>
      <c r="B9" t="s">
        <v>8</v>
      </c>
      <c r="C9" s="25"/>
      <c r="E9" t="s">
        <v>5</v>
      </c>
      <c r="G9" s="24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.75" customHeight="1">
      <c r="A10" s="21"/>
      <c r="B10" t="s">
        <v>82</v>
      </c>
      <c r="C10" s="59"/>
      <c r="E10" t="s">
        <v>59</v>
      </c>
      <c r="G10" s="2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.75" customHeight="1">
      <c r="A11" s="21"/>
      <c r="B11" t="s">
        <v>49</v>
      </c>
      <c r="C11" s="26"/>
      <c r="E11" t="s">
        <v>7</v>
      </c>
      <c r="G11" s="2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.75" customHeight="1">
      <c r="A12" s="21"/>
      <c r="B12" s="6" t="s">
        <v>50</v>
      </c>
      <c r="C12" s="26"/>
      <c r="D12" s="6"/>
      <c r="E12" s="6" t="s">
        <v>8</v>
      </c>
      <c r="F12" s="6"/>
      <c r="G12" s="27"/>
      <c r="H12" s="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5.75" customHeight="1" thickBot="1">
      <c r="A13" s="21"/>
      <c r="B13" s="8" t="s">
        <v>51</v>
      </c>
      <c r="C13" s="32">
        <f>C11*C12/100*1.12/3.67</f>
        <v>0</v>
      </c>
      <c r="D13" s="6"/>
      <c r="E13" s="8" t="s">
        <v>87</v>
      </c>
      <c r="F13" s="8"/>
      <c r="G13" s="32" t="e">
        <f>G10/G9</f>
        <v>#DIV/0!</v>
      </c>
      <c r="H13" s="8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15.75" customHeight="1">
      <c r="A14" s="21"/>
      <c r="B14" s="6"/>
      <c r="C14" s="6"/>
      <c r="D14" s="6"/>
      <c r="E14" s="6"/>
      <c r="F14" s="6"/>
      <c r="G14" s="6"/>
      <c r="H14" s="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5.75" customHeight="1">
      <c r="A15" s="21"/>
      <c r="B15" s="7" t="s">
        <v>13</v>
      </c>
      <c r="D15" s="6"/>
      <c r="E15" s="6"/>
      <c r="F15" s="6"/>
      <c r="G15" s="6"/>
      <c r="H15" s="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5.75" customHeight="1">
      <c r="A16" s="21"/>
      <c r="B16" t="s">
        <v>19</v>
      </c>
      <c r="C16" s="22"/>
      <c r="D16" s="6"/>
      <c r="E16" s="1" t="s">
        <v>80</v>
      </c>
      <c r="F16" s="1"/>
      <c r="G16" s="59"/>
      <c r="H16" s="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.75" customHeight="1">
      <c r="A17" s="21"/>
      <c r="B17" t="s">
        <v>20</v>
      </c>
      <c r="C17" s="25"/>
      <c r="D17" s="6"/>
      <c r="H17" s="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.75" customHeight="1">
      <c r="A18" s="21"/>
      <c r="B18" t="s">
        <v>81</v>
      </c>
      <c r="C18" s="59"/>
      <c r="D18" s="6"/>
      <c r="E18" s="1" t="s">
        <v>83</v>
      </c>
      <c r="F18" s="1"/>
      <c r="G18" s="25"/>
      <c r="H18" s="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1"/>
      <c r="B19" s="6"/>
      <c r="C19" s="6"/>
      <c r="D19" s="6"/>
      <c r="E19" s="6"/>
      <c r="F19" s="6"/>
      <c r="G19" s="6"/>
      <c r="H19" s="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5.75" customHeight="1">
      <c r="A20" s="21"/>
      <c r="B20" s="7" t="s">
        <v>23</v>
      </c>
      <c r="D20" s="6"/>
      <c r="E20" s="36" t="str">
        <f>C3</f>
        <v>trekker</v>
      </c>
      <c r="F20" s="36"/>
      <c r="G20" s="36" t="str">
        <f>G3</f>
        <v>maaierkneuzer</v>
      </c>
      <c r="H20" s="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.75" customHeight="1">
      <c r="A21" s="21"/>
      <c r="B21" t="s">
        <v>10</v>
      </c>
      <c r="D21" s="2"/>
      <c r="E21" s="60" t="e">
        <f>(C4-C5)/C6</f>
        <v>#DIV/0!</v>
      </c>
      <c r="F21" s="39"/>
      <c r="G21" s="61" t="e">
        <f>(G5-G6)/G7</f>
        <v>#DIV/0!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5.75" customHeight="1">
      <c r="A22" s="21"/>
      <c r="B22" t="s">
        <v>9</v>
      </c>
      <c r="E22" s="60">
        <f>(C4+C5)/2*G18/100</f>
        <v>0</v>
      </c>
      <c r="F22" s="39"/>
      <c r="G22" s="61">
        <f>(G5+G6)/2*G18/100</f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5.75" customHeight="1">
      <c r="A23" s="21"/>
      <c r="B23" t="s">
        <v>8</v>
      </c>
      <c r="E23" s="60">
        <f>C4*C9/100</f>
        <v>0</v>
      </c>
      <c r="F23" s="39"/>
      <c r="G23" s="61">
        <f>G5*G12/100</f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5.75" customHeight="1">
      <c r="A24" s="21"/>
      <c r="B24" t="s">
        <v>7</v>
      </c>
      <c r="E24" s="60">
        <f>C4*C8/100</f>
        <v>0</v>
      </c>
      <c r="F24" s="39"/>
      <c r="G24" s="61">
        <f>G5*G11/100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5.75" customHeight="1">
      <c r="A25" s="21"/>
      <c r="B25" s="6" t="s">
        <v>11</v>
      </c>
      <c r="E25" s="60">
        <f>C7*C10*C13</f>
        <v>0</v>
      </c>
      <c r="F25" s="39"/>
      <c r="G25" s="44"/>
      <c r="H25" s="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5.75" customHeight="1">
      <c r="A26" s="21"/>
      <c r="B26" s="4" t="s">
        <v>24</v>
      </c>
      <c r="C26" s="62" t="e">
        <f>G13*G16</f>
        <v>#DIV/0!</v>
      </c>
      <c r="D26" s="6"/>
      <c r="E26" s="40"/>
      <c r="F26" s="40"/>
      <c r="G26" s="4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5.75" customHeight="1">
      <c r="A27" s="21"/>
      <c r="B27" t="s">
        <v>12</v>
      </c>
      <c r="E27" s="41" t="e">
        <f>SUM(E21:E26)</f>
        <v>#DIV/0!</v>
      </c>
      <c r="F27" s="41"/>
      <c r="G27" s="46" t="e">
        <f>SUM(G21:G26)</f>
        <v>#DIV/0!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5.75" customHeight="1">
      <c r="A28" s="21"/>
      <c r="C28" s="5"/>
      <c r="E28" s="2"/>
      <c r="F28" s="2"/>
      <c r="G28" s="4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customHeight="1">
      <c r="A29" s="21"/>
      <c r="B29" t="s">
        <v>57</v>
      </c>
      <c r="C29" s="35"/>
      <c r="E29" s="42" t="e">
        <f>E27/C7</f>
        <v>#DIV/0!</v>
      </c>
      <c r="F29" s="42"/>
      <c r="G29" s="4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customHeight="1">
      <c r="A30" s="21"/>
      <c r="B30" s="6" t="s">
        <v>58</v>
      </c>
      <c r="C30" s="6"/>
      <c r="D30" s="6"/>
      <c r="E30" s="43"/>
      <c r="F30" s="43"/>
      <c r="G30" s="49" t="e">
        <f>G27/G13</f>
        <v>#DIV/0!</v>
      </c>
      <c r="H30" s="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customHeight="1">
      <c r="A31" s="21"/>
      <c r="B31" s="6"/>
      <c r="C31" s="6"/>
      <c r="D31" s="6"/>
      <c r="E31" s="6"/>
      <c r="F31" s="6"/>
      <c r="G31" s="14"/>
      <c r="H31" s="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6.25">
      <c r="A32" s="21"/>
      <c r="B32" s="37" t="s">
        <v>17</v>
      </c>
      <c r="C32" s="52" t="s">
        <v>62</v>
      </c>
      <c r="E32" s="52" t="s">
        <v>63</v>
      </c>
      <c r="F32" s="52"/>
      <c r="G32" s="38" t="s">
        <v>73</v>
      </c>
      <c r="H32" s="37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customHeight="1">
      <c r="A33" s="21"/>
      <c r="B33" t="s">
        <v>22</v>
      </c>
      <c r="C33" s="42" t="e">
        <f>E29*G13+G27</f>
        <v>#DIV/0!</v>
      </c>
      <c r="E33" s="42" t="e">
        <f>E29*G13+G27+C26</f>
        <v>#DIV/0!</v>
      </c>
      <c r="F33" s="42"/>
      <c r="G33" t="s">
        <v>74</v>
      </c>
      <c r="H33" s="50" t="e">
        <f>H37*H34</f>
        <v>#DIV/0!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customHeight="1">
      <c r="A34" s="21"/>
      <c r="B34" t="s">
        <v>16</v>
      </c>
      <c r="C34" s="42" t="e">
        <f>G10/G9</f>
        <v>#DIV/0!</v>
      </c>
      <c r="E34" s="42" t="e">
        <f>G10/G9</f>
        <v>#DIV/0!</v>
      </c>
      <c r="F34" s="42"/>
      <c r="G34" t="s">
        <v>16</v>
      </c>
      <c r="H34" s="47" t="e">
        <f>G10/C17</f>
        <v>#DIV/0!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customHeight="1">
      <c r="A35" s="21"/>
      <c r="B35" t="s">
        <v>86</v>
      </c>
      <c r="C35" s="42">
        <f>G10</f>
        <v>0</v>
      </c>
      <c r="E35" s="42">
        <f>C35</f>
        <v>0</v>
      </c>
      <c r="F35" s="42"/>
      <c r="G35" t="s">
        <v>86</v>
      </c>
      <c r="H35" s="47">
        <f>G10</f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customHeight="1">
      <c r="A36" s="21"/>
      <c r="B36" t="s">
        <v>61</v>
      </c>
      <c r="C36" s="42" t="e">
        <f>C33/G10</f>
        <v>#DIV/0!</v>
      </c>
      <c r="E36" s="42" t="e">
        <f>E33/G10</f>
        <v>#DIV/0!</v>
      </c>
      <c r="F36" s="42"/>
      <c r="G36" t="s">
        <v>14</v>
      </c>
      <c r="H36" s="50" t="e">
        <f>IF(C16="ha",C18,C18/C17)</f>
        <v>#DIV/0!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customHeight="1">
      <c r="A37" s="21"/>
      <c r="B37" t="s">
        <v>60</v>
      </c>
      <c r="C37" s="42" t="e">
        <f>C33/G13</f>
        <v>#DIV/0!</v>
      </c>
      <c r="E37" s="42" t="e">
        <f>E33/G13</f>
        <v>#DIV/0!</v>
      </c>
      <c r="F37" s="42"/>
      <c r="G37" t="s">
        <v>15</v>
      </c>
      <c r="H37" s="50">
        <f>IF(C16="uur",C18,C17*C18)</f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.75">
      <c r="A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2.75">
      <c r="A39" s="21"/>
      <c r="B39" s="54" t="s">
        <v>21</v>
      </c>
      <c r="C39" s="55" t="e">
        <f>(H33-C33)/C34</f>
        <v>#DIV/0!</v>
      </c>
      <c r="D39" s="56"/>
      <c r="E39" s="55" t="e">
        <f>(H33-E33)/E34</f>
        <v>#DIV/0!</v>
      </c>
      <c r="F39" s="57"/>
      <c r="G39" s="57"/>
      <c r="H39" s="57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24.75" customHeight="1">
      <c r="A40" s="21"/>
      <c r="B40" s="54" t="s">
        <v>77</v>
      </c>
      <c r="C40" s="63" t="e">
        <f>G27/(H36-(E29/G9))</f>
        <v>#DIV/0!</v>
      </c>
      <c r="D40" s="64"/>
      <c r="E40" s="63" t="e">
        <f>IF(G27/(H36-(E29/G9)-(G16/G9))&lt;0,"&gt;1000",G27/(H36-(E29/G9)-(G16/G9)))</f>
        <v>#DIV/0!</v>
      </c>
      <c r="F40" s="57"/>
      <c r="G40" s="57"/>
      <c r="H40" s="57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18" ht="12.75">
      <c r="A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12.75">
      <c r="A145" s="21"/>
      <c r="K145" s="21"/>
      <c r="L145" s="21"/>
      <c r="M145" s="21"/>
      <c r="N145" s="21"/>
      <c r="O145" s="21"/>
      <c r="P145" s="21"/>
      <c r="Q145" s="21"/>
      <c r="R145" s="21"/>
    </row>
    <row r="146" spans="1:18" ht="12.75">
      <c r="A146" s="21"/>
      <c r="K146" s="21"/>
      <c r="L146" s="21"/>
      <c r="M146" s="21"/>
      <c r="N146" s="21"/>
      <c r="O146" s="21"/>
      <c r="P146" s="21"/>
      <c r="Q146" s="21"/>
      <c r="R146" s="21"/>
    </row>
  </sheetData>
  <sheetProtection password="CCB6" sheet="1" objects="1" scenarios="1"/>
  <printOptions/>
  <pageMargins left="0.81" right="0.45" top="0.9055118110236221" bottom="0.5118110236220472" header="0.2755905511811024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I66"/>
  <sheetViews>
    <sheetView zoomScale="80" zoomScaleNormal="80" workbookViewId="0" topLeftCell="A1">
      <selection activeCell="C4" sqref="C4"/>
    </sheetView>
  </sheetViews>
  <sheetFormatPr defaultColWidth="12.140625" defaultRowHeight="12.75"/>
  <cols>
    <col min="1" max="1" width="8.7109375" style="21" customWidth="1"/>
    <col min="2" max="2" width="43.8515625" style="0" customWidth="1"/>
    <col min="3" max="3" width="9.140625" style="0" customWidth="1"/>
    <col min="4" max="4" width="3.7109375" style="0" customWidth="1"/>
    <col min="5" max="5" width="8.28125" style="0" customWidth="1"/>
    <col min="6" max="6" width="12.57421875" style="21" customWidth="1"/>
    <col min="7" max="7" width="11.57421875" style="21" customWidth="1"/>
    <col min="8" max="8" width="12.140625" style="21" customWidth="1"/>
    <col min="9" max="9" width="17.8515625" style="21" customWidth="1"/>
    <col min="10" max="11" width="12.140625" style="21" customWidth="1"/>
  </cols>
  <sheetData>
    <row r="1" spans="2:7" ht="16.5" thickBot="1">
      <c r="B1" s="9" t="s">
        <v>45</v>
      </c>
      <c r="C1" s="9"/>
      <c r="D1" s="9"/>
      <c r="E1" s="9"/>
      <c r="F1" s="9"/>
      <c r="G1" s="33"/>
    </row>
    <row r="2" spans="2:7" ht="15.75">
      <c r="B2" s="33"/>
      <c r="C2" s="33"/>
      <c r="D2" s="33"/>
      <c r="E2" s="33"/>
      <c r="F2" s="33"/>
      <c r="G2" s="33"/>
    </row>
    <row r="3" spans="2:7" ht="24.75" customHeight="1">
      <c r="B3" s="7" t="s">
        <v>1</v>
      </c>
      <c r="C3" s="66" t="s">
        <v>40</v>
      </c>
      <c r="D3" s="66"/>
      <c r="E3" s="33"/>
      <c r="F3" s="65" t="s">
        <v>55</v>
      </c>
      <c r="G3" s="65"/>
    </row>
    <row r="4" spans="2:7" ht="38.25">
      <c r="B4" t="s">
        <v>84</v>
      </c>
      <c r="C4" s="23" t="s">
        <v>85</v>
      </c>
      <c r="E4" s="2" t="s">
        <v>56</v>
      </c>
      <c r="F4" s="34" t="s">
        <v>54</v>
      </c>
      <c r="G4" s="34" t="s">
        <v>64</v>
      </c>
    </row>
    <row r="5" spans="2:9" ht="15.75" customHeight="1">
      <c r="B5" t="s">
        <v>32</v>
      </c>
      <c r="C5" s="23">
        <f>'loonwerk - eigen mechanisatie'!G5</f>
        <v>0</v>
      </c>
      <c r="E5">
        <v>1</v>
      </c>
      <c r="F5" s="51">
        <f>$C$5*(100-$C$6*E5)/100</f>
        <v>0</v>
      </c>
      <c r="G5" s="51">
        <f>$C$5*(100-$C$6*2)/100</f>
        <v>0</v>
      </c>
      <c r="I5" t="s">
        <v>72</v>
      </c>
    </row>
    <row r="6" spans="2:9" ht="15.75" customHeight="1">
      <c r="B6" t="s">
        <v>36</v>
      </c>
      <c r="C6" s="25">
        <v>6.7</v>
      </c>
      <c r="E6">
        <f>1+E5</f>
        <v>2</v>
      </c>
      <c r="F6" s="51">
        <f>$C$5*(100-$C$6*E6)/100</f>
        <v>0</v>
      </c>
      <c r="G6" s="51">
        <f>G5*(100-$C$6*2)/100</f>
        <v>0</v>
      </c>
      <c r="I6" t="s">
        <v>65</v>
      </c>
    </row>
    <row r="7" spans="2:9" ht="15.75" customHeight="1">
      <c r="B7" t="s">
        <v>31</v>
      </c>
      <c r="C7" s="24">
        <v>10</v>
      </c>
      <c r="E7">
        <f aca="true" t="shared" si="0" ref="E7:E18">1+E6</f>
        <v>3</v>
      </c>
      <c r="F7" s="51">
        <f>$C$5*(100-$C$6*E7)/100</f>
        <v>0</v>
      </c>
      <c r="G7" s="51">
        <f>G6*(100-$C$6*2)/100</f>
        <v>0</v>
      </c>
      <c r="I7" t="s">
        <v>69</v>
      </c>
    </row>
    <row r="8" spans="2:9" ht="15.75" customHeight="1">
      <c r="B8" t="s">
        <v>53</v>
      </c>
      <c r="C8" s="3">
        <f>(100-C7)/C6</f>
        <v>13.432835820895521</v>
      </c>
      <c r="E8">
        <f t="shared" si="0"/>
        <v>4</v>
      </c>
      <c r="F8" s="51">
        <f aca="true" t="shared" si="1" ref="F8:F14">$C$5*(100-$C$6*E8)/100</f>
        <v>0</v>
      </c>
      <c r="G8" s="51">
        <f aca="true" t="shared" si="2" ref="G8:G18">G7*(100-$C$6*2)/100</f>
        <v>0</v>
      </c>
      <c r="I8" t="s">
        <v>70</v>
      </c>
    </row>
    <row r="9" spans="2:9" ht="15.75" customHeight="1">
      <c r="B9" t="s">
        <v>28</v>
      </c>
      <c r="C9" s="25">
        <v>4</v>
      </c>
      <c r="E9">
        <f t="shared" si="0"/>
        <v>5</v>
      </c>
      <c r="F9" s="51">
        <f t="shared" si="1"/>
        <v>0</v>
      </c>
      <c r="G9" s="51">
        <f t="shared" si="2"/>
        <v>0</v>
      </c>
      <c r="I9" t="s">
        <v>66</v>
      </c>
    </row>
    <row r="10" spans="2:7" ht="15.75" customHeight="1">
      <c r="B10" t="s">
        <v>43</v>
      </c>
      <c r="C10" s="25">
        <v>2</v>
      </c>
      <c r="E10">
        <f t="shared" si="0"/>
        <v>6</v>
      </c>
      <c r="F10" s="51">
        <f t="shared" si="1"/>
        <v>0</v>
      </c>
      <c r="G10" s="51">
        <f t="shared" si="2"/>
        <v>0</v>
      </c>
    </row>
    <row r="11" spans="2:7" ht="15.75" customHeight="1">
      <c r="B11" t="s">
        <v>44</v>
      </c>
      <c r="C11" s="23">
        <v>20</v>
      </c>
      <c r="E11">
        <f t="shared" si="0"/>
        <v>7</v>
      </c>
      <c r="F11" s="51">
        <f t="shared" si="1"/>
        <v>0</v>
      </c>
      <c r="G11" s="51">
        <f t="shared" si="2"/>
        <v>0</v>
      </c>
    </row>
    <row r="12" spans="2:7" ht="15.75" customHeight="1">
      <c r="B12" t="s">
        <v>37</v>
      </c>
      <c r="C12" s="24">
        <v>10</v>
      </c>
      <c r="D12" t="str">
        <f>IF(C12&lt;C8," ","fout")</f>
        <v> </v>
      </c>
      <c r="E12">
        <f t="shared" si="0"/>
        <v>8</v>
      </c>
      <c r="F12" s="51">
        <f>$C$5*(100-$C$6*E12)/100</f>
        <v>0</v>
      </c>
      <c r="G12" s="51">
        <f t="shared" si="2"/>
        <v>0</v>
      </c>
    </row>
    <row r="13" spans="2:7" ht="15.75" customHeight="1">
      <c r="B13" t="s">
        <v>38</v>
      </c>
      <c r="C13" s="23">
        <v>1000</v>
      </c>
      <c r="E13">
        <f t="shared" si="0"/>
        <v>9</v>
      </c>
      <c r="F13" s="51">
        <f t="shared" si="1"/>
        <v>0</v>
      </c>
      <c r="G13" s="51">
        <f t="shared" si="2"/>
        <v>0</v>
      </c>
    </row>
    <row r="14" spans="2:7" ht="15.75" customHeight="1">
      <c r="B14" t="s">
        <v>39</v>
      </c>
      <c r="C14" s="23">
        <v>900</v>
      </c>
      <c r="E14">
        <f t="shared" si="0"/>
        <v>10</v>
      </c>
      <c r="F14" s="51">
        <f t="shared" si="1"/>
        <v>0</v>
      </c>
      <c r="G14" s="51">
        <f t="shared" si="2"/>
        <v>0</v>
      </c>
    </row>
    <row r="15" spans="2:7" ht="15.75" customHeight="1">
      <c r="B15" t="s">
        <v>75</v>
      </c>
      <c r="C15" s="11">
        <f>VLOOKUP(C12,B30:C44,2)</f>
        <v>2.673737926848597</v>
      </c>
      <c r="E15">
        <f t="shared" si="0"/>
        <v>11</v>
      </c>
      <c r="F15" s="51">
        <f>IF($C$5*(100-$C$6*E15)/100&lt;0," ",$C$5*(100-$C$6*E15)/100)</f>
        <v>0</v>
      </c>
      <c r="G15" s="51">
        <f t="shared" si="2"/>
        <v>0</v>
      </c>
    </row>
    <row r="16" spans="2:7" ht="15.75" customHeight="1">
      <c r="B16" t="s">
        <v>76</v>
      </c>
      <c r="C16" s="11">
        <f>C30</f>
        <v>0.3166520249211699</v>
      </c>
      <c r="E16">
        <f t="shared" si="0"/>
        <v>12</v>
      </c>
      <c r="F16" s="51">
        <f>IF($C$5*(100-$C$6*E16)/100&lt;0," ",$C$5*(100-$C$6*E16)/100)</f>
        <v>0</v>
      </c>
      <c r="G16" s="51">
        <f t="shared" si="2"/>
        <v>0</v>
      </c>
    </row>
    <row r="17" spans="3:7" ht="15.75" customHeight="1">
      <c r="C17" s="11"/>
      <c r="E17">
        <f t="shared" si="0"/>
        <v>13</v>
      </c>
      <c r="F17" s="51">
        <f>IF($C$5*(100-$C$6*E17)/100&lt;0," ",$C$5*(100-$C$6*E17)/100)</f>
        <v>0</v>
      </c>
      <c r="G17" s="51">
        <f t="shared" si="2"/>
        <v>0</v>
      </c>
    </row>
    <row r="18" spans="3:7" ht="15.75" customHeight="1">
      <c r="C18" s="11"/>
      <c r="E18">
        <f t="shared" si="0"/>
        <v>14</v>
      </c>
      <c r="F18" s="51">
        <f>IF($C$5*(100-$C$6*E18)/100&lt;0," ",$C$5*(100-$C$6*E18)/100)</f>
        <v>0</v>
      </c>
      <c r="G18" s="51">
        <f t="shared" si="2"/>
        <v>0</v>
      </c>
    </row>
    <row r="19" spans="6:7" ht="15.75" customHeight="1">
      <c r="F19"/>
      <c r="G19"/>
    </row>
    <row r="20" spans="2:7" ht="15.75" customHeight="1">
      <c r="B20" s="7" t="s">
        <v>46</v>
      </c>
      <c r="C20" s="4"/>
      <c r="D20" s="12" t="s">
        <v>33</v>
      </c>
      <c r="E20" s="4"/>
      <c r="F20"/>
      <c r="G20"/>
    </row>
    <row r="21" spans="3:7" ht="15.75" customHeight="1">
      <c r="C21" s="13" t="s">
        <v>35</v>
      </c>
      <c r="E21" s="15" t="s">
        <v>52</v>
      </c>
      <c r="F21"/>
      <c r="G21"/>
    </row>
    <row r="22" spans="2:7" ht="15.75" customHeight="1">
      <c r="B22" t="s">
        <v>29</v>
      </c>
      <c r="C22" s="16">
        <f>C13-C14</f>
        <v>100</v>
      </c>
      <c r="E22" s="19">
        <f>C5*C6/100</f>
        <v>0</v>
      </c>
      <c r="F22"/>
      <c r="G22"/>
    </row>
    <row r="23" spans="2:7" ht="15.75" customHeight="1">
      <c r="B23" t="s">
        <v>30</v>
      </c>
      <c r="C23" s="16">
        <f>(C13+C14)/2*C9/100</f>
        <v>38</v>
      </c>
      <c r="E23" s="19">
        <f>C5*(100-C6/2)*C9/100/100</f>
        <v>0</v>
      </c>
      <c r="F23"/>
      <c r="G23"/>
    </row>
    <row r="24" spans="2:7" ht="15.75" customHeight="1">
      <c r="B24" t="s">
        <v>34</v>
      </c>
      <c r="C24" s="16">
        <f>C5*C15/100</f>
        <v>0</v>
      </c>
      <c r="E24" s="19">
        <f>C5*E30/100</f>
        <v>0</v>
      </c>
      <c r="F24"/>
      <c r="G24"/>
    </row>
    <row r="25" spans="3:7" ht="15.75" customHeight="1">
      <c r="C25" s="17" t="s">
        <v>47</v>
      </c>
      <c r="E25" s="17" t="s">
        <v>47</v>
      </c>
      <c r="F25"/>
      <c r="G25"/>
    </row>
    <row r="26" spans="2:7" ht="15.75" customHeight="1">
      <c r="B26" t="s">
        <v>48</v>
      </c>
      <c r="C26" s="18">
        <f>SUM(C22:C25)</f>
        <v>138</v>
      </c>
      <c r="E26" s="20">
        <f>SUM(E22:E25)</f>
        <v>0</v>
      </c>
      <c r="F26"/>
      <c r="G26"/>
    </row>
    <row r="27" spans="2:5" ht="12.75">
      <c r="B27" s="21"/>
      <c r="C27" s="28"/>
      <c r="D27" s="21"/>
      <c r="E27" s="29"/>
    </row>
    <row r="28" spans="2:5" ht="12.75">
      <c r="B28" s="21"/>
      <c r="C28" s="21"/>
      <c r="D28" s="21"/>
      <c r="E28" s="29"/>
    </row>
    <row r="29" spans="2:5" ht="24.75" customHeight="1">
      <c r="B29" s="21" t="s">
        <v>26</v>
      </c>
      <c r="C29" s="30" t="s">
        <v>41</v>
      </c>
      <c r="D29" s="21"/>
      <c r="E29" s="30" t="s">
        <v>42</v>
      </c>
    </row>
    <row r="30" spans="2:5" ht="12.75">
      <c r="B30" s="21">
        <v>1</v>
      </c>
      <c r="C30" s="31">
        <f>E30</f>
        <v>0.3166520249211699</v>
      </c>
      <c r="D30" s="21"/>
      <c r="E30" s="31">
        <f aca="true" t="shared" si="3" ref="E30:E44">($C$8*$C$10/($C$11*$C$8^1.709511291))*($C$11*B30^1.709511291)</f>
        <v>0.3166520249211699</v>
      </c>
    </row>
    <row r="31" spans="2:5" ht="12.75">
      <c r="B31" s="21">
        <f>1+B30</f>
        <v>2</v>
      </c>
      <c r="C31" s="31">
        <f aca="true" t="shared" si="4" ref="C31:C44">E31-E30</f>
        <v>0.7189584775463798</v>
      </c>
      <c r="D31" s="21"/>
      <c r="E31" s="31">
        <f t="shared" si="3"/>
        <v>1.0356105024675497</v>
      </c>
    </row>
    <row r="32" spans="2:5" ht="12.75">
      <c r="B32" s="21">
        <f aca="true" t="shared" si="5" ref="B32:B40">1+B31</f>
        <v>3</v>
      </c>
      <c r="C32" s="31">
        <f t="shared" si="4"/>
        <v>1.0356105021723951</v>
      </c>
      <c r="D32" s="21"/>
      <c r="E32" s="31">
        <f t="shared" si="3"/>
        <v>2.071221004639945</v>
      </c>
    </row>
    <row r="33" spans="2:5" ht="12.75">
      <c r="B33" s="21">
        <f t="shared" si="5"/>
        <v>4</v>
      </c>
      <c r="C33" s="31">
        <f t="shared" si="4"/>
        <v>1.315743323436231</v>
      </c>
      <c r="D33" s="21"/>
      <c r="E33" s="31">
        <f t="shared" si="3"/>
        <v>3.386964328076176</v>
      </c>
    </row>
    <row r="34" spans="2:5" ht="12.75">
      <c r="B34" s="21">
        <f t="shared" si="5"/>
        <v>5</v>
      </c>
      <c r="C34" s="31">
        <f t="shared" si="4"/>
        <v>1.5730094907175314</v>
      </c>
      <c r="D34" s="21"/>
      <c r="E34" s="31">
        <f t="shared" si="3"/>
        <v>4.959973818793707</v>
      </c>
    </row>
    <row r="35" spans="2:5" ht="12.75">
      <c r="B35" s="21">
        <f t="shared" si="5"/>
        <v>6</v>
      </c>
      <c r="C35" s="31">
        <f t="shared" si="4"/>
        <v>1.813954836393341</v>
      </c>
      <c r="D35" s="21"/>
      <c r="E35" s="31">
        <f t="shared" si="3"/>
        <v>6.773928655187048</v>
      </c>
    </row>
    <row r="36" spans="2:5" ht="12.75">
      <c r="B36" s="21">
        <f t="shared" si="5"/>
        <v>7</v>
      </c>
      <c r="C36" s="31">
        <f t="shared" si="4"/>
        <v>2.0423825326711134</v>
      </c>
      <c r="D36" s="21"/>
      <c r="E36" s="31">
        <f t="shared" si="3"/>
        <v>8.816311187858162</v>
      </c>
    </row>
    <row r="37" spans="2:5" ht="12.75">
      <c r="B37" s="21">
        <f t="shared" si="5"/>
        <v>8</v>
      </c>
      <c r="C37" s="31">
        <f t="shared" si="4"/>
        <v>2.2607562350071735</v>
      </c>
      <c r="D37" s="21"/>
      <c r="E37" s="31">
        <f t="shared" si="3"/>
        <v>11.077067422865335</v>
      </c>
    </row>
    <row r="38" spans="2:5" ht="12.75">
      <c r="B38" s="21">
        <f t="shared" si="5"/>
        <v>9</v>
      </c>
      <c r="C38" s="31">
        <f t="shared" si="4"/>
        <v>2.47078988557816</v>
      </c>
      <c r="D38" s="21"/>
      <c r="E38" s="31">
        <f t="shared" si="3"/>
        <v>13.547857308443495</v>
      </c>
    </row>
    <row r="39" spans="2:5" ht="12.75">
      <c r="B39" s="21">
        <f t="shared" si="5"/>
        <v>10</v>
      </c>
      <c r="C39" s="31">
        <f t="shared" si="4"/>
        <v>2.673737926848597</v>
      </c>
      <c r="D39" s="21"/>
      <c r="E39" s="31">
        <f t="shared" si="3"/>
        <v>16.221595235292092</v>
      </c>
    </row>
    <row r="40" spans="2:5" ht="12.75">
      <c r="B40" s="21">
        <f t="shared" si="5"/>
        <v>11</v>
      </c>
      <c r="C40" s="31">
        <f t="shared" si="4"/>
        <v>2.8705541243950172</v>
      </c>
      <c r="D40" s="21"/>
      <c r="E40" s="31">
        <f t="shared" si="3"/>
        <v>19.09214935968711</v>
      </c>
    </row>
    <row r="41" spans="2:5" ht="12.75">
      <c r="B41" s="21">
        <f>1+B40</f>
        <v>12</v>
      </c>
      <c r="C41" s="31">
        <f t="shared" si="4"/>
        <v>3.0619854828865556</v>
      </c>
      <c r="D41" s="21"/>
      <c r="E41" s="31">
        <f t="shared" si="3"/>
        <v>22.154134842573665</v>
      </c>
    </row>
    <row r="42" spans="2:5" ht="12.75">
      <c r="B42" s="21">
        <f>1+B41</f>
        <v>13</v>
      </c>
      <c r="C42" s="31">
        <f t="shared" si="4"/>
        <v>3.2486311694838506</v>
      </c>
      <c r="D42" s="21"/>
      <c r="E42" s="31">
        <f t="shared" si="3"/>
        <v>25.402766012057516</v>
      </c>
    </row>
    <row r="43" spans="2:5" ht="12.75">
      <c r="B43" s="21">
        <f>1+B42</f>
        <v>14</v>
      </c>
      <c r="C43" s="31">
        <f t="shared" si="4"/>
        <v>3.4309812581234844</v>
      </c>
      <c r="D43" s="21"/>
      <c r="E43" s="31">
        <f t="shared" si="3"/>
        <v>28.833747270181</v>
      </c>
    </row>
    <row r="44" spans="2:5" ht="12.75">
      <c r="B44" s="21">
        <f>1+B43</f>
        <v>15</v>
      </c>
      <c r="C44" s="31">
        <f t="shared" si="4"/>
        <v>3.6094431957799316</v>
      </c>
      <c r="D44" s="21"/>
      <c r="E44" s="31">
        <f t="shared" si="3"/>
        <v>32.44319046596093</v>
      </c>
    </row>
    <row r="45" spans="2:5" ht="12.75">
      <c r="B45" s="21"/>
      <c r="C45" s="21"/>
      <c r="D45" s="21"/>
      <c r="E45" s="21"/>
    </row>
    <row r="46" spans="2:5" ht="12.75">
      <c r="B46" s="21" t="s">
        <v>27</v>
      </c>
      <c r="C46" s="21">
        <v>1.709511291</v>
      </c>
      <c r="D46" s="21"/>
      <c r="E46" s="21"/>
    </row>
    <row r="47" spans="2:5" ht="12.75">
      <c r="B47" s="21"/>
      <c r="C47" s="21"/>
      <c r="D47" s="21"/>
      <c r="E47" s="21"/>
    </row>
    <row r="48" spans="2:5" ht="12.75">
      <c r="B48" s="21"/>
      <c r="C48" s="21"/>
      <c r="D48" s="21"/>
      <c r="E48" s="21"/>
    </row>
    <row r="49" spans="2:5" ht="12.75">
      <c r="B49" s="21"/>
      <c r="C49" s="21"/>
      <c r="D49" s="21"/>
      <c r="E49" s="21"/>
    </row>
    <row r="50" spans="2:5" ht="12.75">
      <c r="B50" s="21"/>
      <c r="C50" s="21"/>
      <c r="D50" s="21"/>
      <c r="E50" s="21"/>
    </row>
    <row r="51" spans="2:5" ht="12.75">
      <c r="B51" s="21"/>
      <c r="C51" s="21"/>
      <c r="D51" s="21"/>
      <c r="E51" s="21"/>
    </row>
    <row r="52" spans="2:5" ht="12.75">
      <c r="B52" s="21"/>
      <c r="C52" s="21"/>
      <c r="D52" s="21"/>
      <c r="E52" s="21"/>
    </row>
    <row r="53" spans="2:5" ht="12.75">
      <c r="B53" s="21"/>
      <c r="C53" s="21"/>
      <c r="D53" s="21"/>
      <c r="E53" s="21"/>
    </row>
    <row r="54" spans="2:5" ht="12.75">
      <c r="B54" s="21"/>
      <c r="C54" s="21"/>
      <c r="D54" s="21"/>
      <c r="E54" s="21"/>
    </row>
    <row r="55" spans="2:5" ht="12.75">
      <c r="B55" s="21"/>
      <c r="C55" s="21"/>
      <c r="D55" s="21"/>
      <c r="E55" s="21"/>
    </row>
    <row r="56" spans="2:5" ht="12.75">
      <c r="B56" s="21"/>
      <c r="C56" s="21"/>
      <c r="D56" s="21"/>
      <c r="E56" s="21"/>
    </row>
    <row r="57" spans="2:5" ht="12.75">
      <c r="B57" s="21"/>
      <c r="C57" s="21"/>
      <c r="D57" s="21"/>
      <c r="E57" s="21"/>
    </row>
    <row r="58" spans="2:5" ht="12.75">
      <c r="B58" s="21"/>
      <c r="C58" s="21"/>
      <c r="D58" s="21"/>
      <c r="E58" s="21"/>
    </row>
    <row r="59" spans="2:5" ht="12.75">
      <c r="B59" s="21"/>
      <c r="C59" s="21"/>
      <c r="D59" s="21"/>
      <c r="E59" s="21"/>
    </row>
    <row r="60" spans="2:5" ht="12.75">
      <c r="B60" s="21"/>
      <c r="C60" s="21"/>
      <c r="D60" s="21"/>
      <c r="E60" s="21"/>
    </row>
    <row r="61" spans="2:5" ht="12.75">
      <c r="B61" s="21"/>
      <c r="C61" s="21"/>
      <c r="D61" s="21"/>
      <c r="E61" s="21"/>
    </row>
    <row r="62" spans="2:5" ht="12.75">
      <c r="B62" s="21"/>
      <c r="C62" s="21"/>
      <c r="D62" s="21"/>
      <c r="E62" s="21"/>
    </row>
    <row r="63" spans="2:5" ht="12.75">
      <c r="B63" s="21"/>
      <c r="C63" s="21"/>
      <c r="D63" s="21"/>
      <c r="E63" s="21"/>
    </row>
    <row r="64" spans="2:5" ht="12.75">
      <c r="B64" s="21"/>
      <c r="C64" s="21"/>
      <c r="D64" s="21"/>
      <c r="E64" s="21"/>
    </row>
    <row r="65" spans="2:5" ht="12.75">
      <c r="B65" s="21"/>
      <c r="C65" s="21"/>
      <c r="D65" s="21"/>
      <c r="E65" s="21"/>
    </row>
    <row r="66" spans="2:5" ht="12.75">
      <c r="B66" s="21"/>
      <c r="C66" s="21"/>
      <c r="D66" s="21"/>
      <c r="E66" s="21"/>
    </row>
  </sheetData>
  <sheetProtection password="CCB6" sheet="1" objects="1" scenarios="1"/>
  <mergeCells count="2">
    <mergeCell ref="F3:G3"/>
    <mergeCell ref="C3:D3"/>
  </mergeCells>
  <printOptions/>
  <pageMargins left="0.78" right="0.28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Storkhorst</dc:creator>
  <cp:keywords/>
  <dc:description/>
  <cp:lastModifiedBy>AOC-OOST</cp:lastModifiedBy>
  <cp:lastPrinted>2007-01-17T12:52:31Z</cp:lastPrinted>
  <dcterms:created xsi:type="dcterms:W3CDTF">1999-05-19T11:29:03Z</dcterms:created>
  <dcterms:modified xsi:type="dcterms:W3CDTF">2007-01-26T12:03:32Z</dcterms:modified>
  <cp:category/>
  <cp:version/>
  <cp:contentType/>
  <cp:contentStatus/>
</cp:coreProperties>
</file>